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<sst xmlns="http://schemas.openxmlformats.org/spreadsheetml/2006/main" count="1017" uniqueCount="237">
  <si>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</si>
  <si>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</si>
  <si>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</si>
  <si>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</si>
  <si>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</si>
  <si>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</si>
  <si>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</si>
  <si>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</si>
  <si>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</si>
  <si>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</si>
  <si>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</si>
  <si>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</si>
  <si>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</si>
  <si>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</si>
  <si>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</si>
  <si>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</si>
  <si>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</si>
  <si>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</si>
  <si>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</si>
  <si>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</si>
  <si>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</si>
  <si>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</si>
  <si>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</si>
  <si>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</si>
  <si>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</si>
  <si>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</si>
  <si>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</si>
  <si>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</si>
  <si>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</si>
  <si>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</si>
  <si>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</si>
  <si>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</si>
  <si>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</si>
  <si>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</si>
  <si>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</si>
  <si>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</si>
  <si>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</si>
  <si>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</si>
  <si>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</si>
  <si>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</si>
  <si>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</si>
  <si>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</si>
  <si>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</si>
  <si>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</si>
  <si>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</si>
  <si>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</si>
  <si>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</si>
  <si>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</si>
  <si>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</si>
  <si>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</si>
  <si>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</si>
  <si>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</si>
  <si>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</si>
  <si>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</si>
  <si>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</si>
  <si>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</si>
  <si>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</si>
  <si>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</si>
  <si>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</si>
  <si>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</si>
  <si>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</si>
  <si>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</si>
  <si>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</si>
  <si>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</si>
  <si>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</si>
  <si>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</si>
  <si>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</si>
  <si>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</si>
  <si>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</si>
  <si>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</si>
  <si>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</si>
  <si>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</si>
  <si>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</si>
  <si>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</si>
  <si>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</si>
  <si>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</si>
  <si>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</si>
  <si>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</si>
  <si>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</si>
  <si>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</si>
  <si>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</si>
  <si>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</si>
  <si>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</si>
  <si>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</si>
  <si>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</si>
  <si>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</si>
  <si>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</si>
  <si>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</si>
  <si>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</si>
  <si>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</si>
  <si>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</si>
  <si>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</si>
  <si>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</si>
  <si>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</si>
  <si>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</si>
  <si>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</si>
  <si>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</si>
  <si>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</si>
  <si>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</si>
  <si>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</si>
  <si>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</si>
  <si>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</si>
  <si>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</si>
  <si>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</si>
  <si>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</si>
  <si>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</si>
  <si>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</si>
  <si>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</si>
  <si>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</si>
  <si>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</si>
  <si>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</si>
  <si>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</si>
  <si>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</si>
  <si>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</si>
  <si>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</si>
  <si>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</si>
  <si>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</si>
  <si>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</si>
  <si>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</si>
  <si>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</si>
  <si>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</si>
  <si>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</si>
  <si>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</si>
  <si>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</si>
  <si>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</si>
  <si>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</si>
  <si>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</si>
  <si>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</si>
  <si>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</si>
  <si>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</si>
  <si>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</si>
  <si>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</si>
  <si>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</si>
  <si>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</si>
  <si>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</si>
  <si>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</si>
  <si>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</si>
  <si>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</si>
  <si>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</si>
  <si>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</si>
  <si>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</si>
  <si>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</si>
  <si>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</si>
  <si>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</si>
  <si>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</si>
  <si>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</si>
  <si>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</si>
  <si>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</si>
  <si>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</si>
  <si>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</si>
  <si>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</si>
  <si>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</si>
  <si>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</si>
  <si>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</si>
  <si>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</si>
  <si>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</si>
  <si>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</si>
  <si>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</si>
  <si>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</si>
  <si>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</si>
  <si>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</si>
  <si>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</si>
  <si>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</si>
  <si>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</si>
  <si>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</si>
  <si>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</si>
  <si>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</si>
  <si>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</si>
  <si>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</si>
  <si>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</si>
  <si>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</si>
  <si>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</si>
  <si>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</si>
  <si>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</si>
  <si>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</si>
  <si>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</si>
  <si>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</si>
  <si>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</si>
  <si>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</si>
  <si>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</si>
  <si>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</si>
  <si>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</si>
  <si>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</si>
  <si>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</si>
  <si>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</si>
  <si>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</si>
  <si>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</si>
  <si>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</si>
  <si>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</si>
  <si>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</si>
  <si>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</si>
  <si>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</si>
  <si>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</si>
  <si>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</si>
  <si>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</si>
  <si>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</si>
  <si>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</si>
  <si>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</si>
  <si>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</si>
  <si>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</si>
  <si>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</si>
  <si>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</si>
  <si>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</si>
  <si>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</si>
  <si>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</si>
  <si>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</si>
  <si>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</si>
  <si>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</si>
  <si>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</si>
  <si>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</si>
  <si>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</si>
  <si>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</si>
  <si>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</si>
  <si>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</si>
  <si>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</si>
  <si>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</si>
  <si>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</si>
  <si>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</si>
  <si>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</si>
  <si>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</si>
  <si>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</si>
  <si>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</si>
  <si>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</si>
  <si>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</si>
  <si>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</si>
  <si>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</si>
  <si>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</si>
  <si>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</si>
  <si>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</si>
  <si>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</si>
  <si>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</si>
  <si>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</si>
  <si>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</si>
  <si>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</si>
  <si>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</si>
  <si>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</si>
  <si>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13.05.14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</si>
</sst>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183" fontId="8" fillId="0" borderId="1" xfId="0" applyNumberFormat="1" applyFont="1" applyFill="1" applyBorder="1" applyAlignment="1" applyProtection="1">
      <alignment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5"/>
      <sheetName val="депозит"/>
      <sheetName val="залишки  (2)"/>
      <sheetName val="надх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121169726.37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107344504.41</v>
          </cell>
        </row>
      </sheetData>
      <sheetData sheetId="13">
        <row r="52">
          <cell r="B52">
            <v>97291.18999999762</v>
          </cell>
        </row>
      </sheetData>
      <sheetData sheetId="16">
        <row r="28">
          <cell r="C28">
            <v>4870376.3</v>
          </cell>
        </row>
      </sheetData>
      <sheetData sheetId="17">
        <row r="28">
          <cell r="C28">
            <v>3219411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50" sqref="E15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9" t="s">
        <v>235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224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225</v>
      </c>
      <c r="N3" s="201" t="s">
        <v>233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229</v>
      </c>
      <c r="H4" s="185" t="s">
        <v>230</v>
      </c>
      <c r="I4" s="181" t="s">
        <v>188</v>
      </c>
      <c r="J4" s="187" t="s">
        <v>189</v>
      </c>
      <c r="K4" s="176" t="s">
        <v>231</v>
      </c>
      <c r="L4" s="177"/>
      <c r="M4" s="200"/>
      <c r="N4" s="163" t="s">
        <v>236</v>
      </c>
      <c r="O4" s="181" t="s">
        <v>136</v>
      </c>
      <c r="P4" s="181" t="s">
        <v>135</v>
      </c>
      <c r="Q4" s="176" t="s">
        <v>234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228</v>
      </c>
      <c r="F5" s="203"/>
      <c r="G5" s="184"/>
      <c r="H5" s="186"/>
      <c r="I5" s="182"/>
      <c r="J5" s="188"/>
      <c r="K5" s="178"/>
      <c r="L5" s="179"/>
      <c r="M5" s="151" t="s">
        <v>232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155388.24</v>
      </c>
      <c r="G8" s="22">
        <f aca="true" t="shared" si="0" ref="G8:G30">F8-E8</f>
        <v>-36282.82000000001</v>
      </c>
      <c r="H8" s="51">
        <f>F8/E8*100</f>
        <v>81.07026694588113</v>
      </c>
      <c r="I8" s="36">
        <f aca="true" t="shared" si="1" ref="I8:I17">F8-D8</f>
        <v>-333088.06</v>
      </c>
      <c r="J8" s="36">
        <f aca="true" t="shared" si="2" ref="J8:J14">F8/D8*100</f>
        <v>31.810804331755705</v>
      </c>
      <c r="K8" s="36">
        <f>F8-187134.8</f>
        <v>-31746.559999999998</v>
      </c>
      <c r="L8" s="136">
        <f>F8/187134.8</f>
        <v>0.8303545893120895</v>
      </c>
      <c r="M8" s="22">
        <f>M10+M19+M33+M56+M68+M30</f>
        <v>37449.96999999999</v>
      </c>
      <c r="N8" s="22">
        <f>N10+N19+N33+N56+N68+N30</f>
        <v>9626.480000000007</v>
      </c>
      <c r="O8" s="36">
        <f aca="true" t="shared" si="3" ref="O8:O71">N8-M8</f>
        <v>-27823.48999999998</v>
      </c>
      <c r="P8" s="36">
        <f>F8/M8*100</f>
        <v>414.9222015398144</v>
      </c>
      <c r="Q8" s="36">
        <f>N8-36022.2</f>
        <v>-26395.71999999999</v>
      </c>
      <c r="R8" s="134">
        <f>N8/36022.2</f>
        <v>0.26723742580963983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126007.95</v>
      </c>
      <c r="G9" s="22">
        <f t="shared" si="0"/>
        <v>126007.95</v>
      </c>
      <c r="H9" s="20"/>
      <c r="I9" s="56">
        <f t="shared" si="1"/>
        <v>-261005.25</v>
      </c>
      <c r="J9" s="56">
        <f t="shared" si="2"/>
        <v>32.559083256074985</v>
      </c>
      <c r="K9" s="56"/>
      <c r="L9" s="135"/>
      <c r="M9" s="20">
        <f>M10+M17</f>
        <v>30408.59999999999</v>
      </c>
      <c r="N9" s="20">
        <f>N10+N17</f>
        <v>8887.800000000003</v>
      </c>
      <c r="O9" s="36">
        <f t="shared" si="3"/>
        <v>-21520.79999999999</v>
      </c>
      <c r="P9" s="56">
        <f>F9/M9*100</f>
        <v>414.38260886722844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126007.95</v>
      </c>
      <c r="G10" s="49">
        <f t="shared" si="0"/>
        <v>-30103.84999999999</v>
      </c>
      <c r="H10" s="40">
        <f aca="true" t="shared" si="4" ref="H10:H17">F10/E10*100</f>
        <v>80.71648011232976</v>
      </c>
      <c r="I10" s="56">
        <f t="shared" si="1"/>
        <v>-261005.25</v>
      </c>
      <c r="J10" s="56">
        <f t="shared" si="2"/>
        <v>32.559083256074985</v>
      </c>
      <c r="K10" s="141">
        <f>F10-145839</f>
        <v>-19831.050000000003</v>
      </c>
      <c r="L10" s="142">
        <f>F10/145839</f>
        <v>0.8640209409005821</v>
      </c>
      <c r="M10" s="40">
        <f>E10-квітень!E10</f>
        <v>30408.59999999999</v>
      </c>
      <c r="N10" s="40">
        <f>F10-квітень!F10</f>
        <v>8887.800000000003</v>
      </c>
      <c r="O10" s="53">
        <f t="shared" si="3"/>
        <v>-21520.79999999999</v>
      </c>
      <c r="P10" s="56">
        <f aca="true" t="shared" si="5" ref="P10:P17">N10/M10*100</f>
        <v>29.227915786981335</v>
      </c>
      <c r="Q10" s="141">
        <f>N10-28567.7</f>
        <v>-19679.899999999998</v>
      </c>
      <c r="R10" s="142">
        <f>N10/28567.7</f>
        <v>0.3111136003248425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582.27</v>
      </c>
      <c r="G19" s="49">
        <f t="shared" si="0"/>
        <v>-429.33000000000004</v>
      </c>
      <c r="H19" s="40">
        <f aca="true" t="shared" si="6" ref="H19:H29">F19/E19*100</f>
        <v>57.559311981020166</v>
      </c>
      <c r="I19" s="56">
        <f aca="true" t="shared" si="7" ref="I19:I29">F19-D19</f>
        <v>-417.73</v>
      </c>
      <c r="J19" s="56">
        <f aca="true" t="shared" si="8" ref="J19:J29">F19/D19*100</f>
        <v>58.227</v>
      </c>
      <c r="K19" s="56">
        <f>F19-5155.1</f>
        <v>-4572.83</v>
      </c>
      <c r="L19" s="135">
        <f>F19/5155.1</f>
        <v>0.1129502822447673</v>
      </c>
      <c r="M19" s="40">
        <f>E19-квітень!E19</f>
        <v>12</v>
      </c>
      <c r="N19" s="40">
        <f>F19-квітень!F19</f>
        <v>29.350000000000023</v>
      </c>
      <c r="O19" s="53">
        <f t="shared" si="3"/>
        <v>17.350000000000023</v>
      </c>
      <c r="P19" s="56">
        <f aca="true" t="shared" si="9" ref="P19:P29">N19/M19*100</f>
        <v>244.5833333333335</v>
      </c>
      <c r="Q19" s="56">
        <f>N19-419.2</f>
        <v>-389.84999999999997</v>
      </c>
      <c r="R19" s="135">
        <f>N19/419.2</f>
        <v>0.0700143129770993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783.18</v>
      </c>
      <c r="G29" s="49">
        <f t="shared" si="0"/>
        <v>31.579999999999927</v>
      </c>
      <c r="H29" s="40">
        <f t="shared" si="6"/>
        <v>104.20170303352847</v>
      </c>
      <c r="I29" s="56">
        <f t="shared" si="7"/>
        <v>-146.82000000000005</v>
      </c>
      <c r="J29" s="56">
        <f t="shared" si="8"/>
        <v>84.21290322580644</v>
      </c>
      <c r="K29" s="148">
        <f>F29-1598.01</f>
        <v>-814.83</v>
      </c>
      <c r="L29" s="149">
        <f>F29/1598.01</f>
        <v>0.4900970582161563</v>
      </c>
      <c r="M29" s="40">
        <f>E29-квітень!E29</f>
        <v>12</v>
      </c>
      <c r="N29" s="40">
        <f>F29-квітень!F29</f>
        <v>0</v>
      </c>
      <c r="O29" s="148">
        <f t="shared" si="3"/>
        <v>-12</v>
      </c>
      <c r="P29" s="145">
        <f t="shared" si="9"/>
        <v>0</v>
      </c>
      <c r="Q29" s="148">
        <f>N29-428.5</f>
        <v>-428.5</v>
      </c>
      <c r="R29" s="149">
        <f>N29/428.5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26279.83</v>
      </c>
      <c r="G33" s="49">
        <f aca="true" t="shared" si="14" ref="G33:G72">F33-E33</f>
        <v>-5460.629999999997</v>
      </c>
      <c r="H33" s="40">
        <f aca="true" t="shared" si="15" ref="H33:H67">F33/E33*100</f>
        <v>82.7959960252624</v>
      </c>
      <c r="I33" s="56">
        <f>F33-D33</f>
        <v>-67286.17</v>
      </c>
      <c r="J33" s="56">
        <f aca="true" t="shared" si="16" ref="J33:J72">F33/D33*100</f>
        <v>28.08694397537567</v>
      </c>
      <c r="K33" s="141">
        <f>F33-33465.8</f>
        <v>-7185.970000000001</v>
      </c>
      <c r="L33" s="142">
        <f>F33/33465.8</f>
        <v>0.7852742202487315</v>
      </c>
      <c r="M33" s="40">
        <f>E33-квітень!E33</f>
        <v>6469.869999999999</v>
      </c>
      <c r="N33" s="40">
        <f>F33-квітень!F33</f>
        <v>362.4100000000035</v>
      </c>
      <c r="O33" s="53">
        <f t="shared" si="3"/>
        <v>-6107.4599999999955</v>
      </c>
      <c r="P33" s="56">
        <f aca="true" t="shared" si="17" ref="P33:P67">N33/M33*100</f>
        <v>5.601503585079817</v>
      </c>
      <c r="Q33" s="141">
        <f>N33-6537.6</f>
        <v>-6175.189999999997</v>
      </c>
      <c r="R33" s="142">
        <f>N33/6537.2</f>
        <v>0.05543810805849653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19706.24</v>
      </c>
      <c r="G55" s="144">
        <f t="shared" si="14"/>
        <v>-3843.9199999999983</v>
      </c>
      <c r="H55" s="146">
        <f t="shared" si="15"/>
        <v>83.6777329750626</v>
      </c>
      <c r="I55" s="145">
        <f t="shared" si="18"/>
        <v>-50559.759999999995</v>
      </c>
      <c r="J55" s="145">
        <f t="shared" si="16"/>
        <v>28.045199669826093</v>
      </c>
      <c r="K55" s="148">
        <f>F55-24232.1</f>
        <v>-4525.859999999997</v>
      </c>
      <c r="L55" s="149">
        <f>F55/24232.1</f>
        <v>0.8132287337870017</v>
      </c>
      <c r="M55" s="40">
        <f>E55-квітень!E55</f>
        <v>4739.869999999999</v>
      </c>
      <c r="N55" s="40">
        <f>F55-квітень!F55</f>
        <v>310.84000000000015</v>
      </c>
      <c r="O55" s="148">
        <f t="shared" si="3"/>
        <v>-4429.029999999999</v>
      </c>
      <c r="P55" s="148">
        <f t="shared" si="17"/>
        <v>6.557985767542151</v>
      </c>
      <c r="Q55" s="160">
        <f>N55-4803.25</f>
        <v>-4492.41</v>
      </c>
      <c r="R55" s="161">
        <f>N55/4803.25</f>
        <v>0.06471451621298083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v>2514.4</v>
      </c>
      <c r="G56" s="49">
        <f t="shared" si="14"/>
        <v>-274.6999999999998</v>
      </c>
      <c r="H56" s="40">
        <f t="shared" si="15"/>
        <v>90.15094474920225</v>
      </c>
      <c r="I56" s="56">
        <f t="shared" si="18"/>
        <v>-4345.6</v>
      </c>
      <c r="J56" s="56">
        <f t="shared" si="16"/>
        <v>36.6530612244898</v>
      </c>
      <c r="K56" s="56">
        <f>F56-2649.7</f>
        <v>-135.29999999999973</v>
      </c>
      <c r="L56" s="135">
        <f>F56/2649.7</f>
        <v>0.9489376155791223</v>
      </c>
      <c r="M56" s="40">
        <f>E56-квітень!E56</f>
        <v>551</v>
      </c>
      <c r="N56" s="40">
        <f>F56-квітень!F56</f>
        <v>346.9200000000001</v>
      </c>
      <c r="O56" s="53">
        <f t="shared" si="3"/>
        <v>-204.07999999999993</v>
      </c>
      <c r="P56" s="56">
        <f t="shared" si="17"/>
        <v>62.96188747731398</v>
      </c>
      <c r="Q56" s="56">
        <f>N56-497.8</f>
        <v>-150.87999999999994</v>
      </c>
      <c r="R56" s="135">
        <f>N56/497.8</f>
        <v>0.6969063881076739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E68-квітень!E68</f>
        <v>0</v>
      </c>
      <c r="N68" s="40">
        <f>F68-квітень!F68</f>
        <v>0</v>
      </c>
      <c r="O68" s="53">
        <f t="shared" si="3"/>
        <v>0</v>
      </c>
      <c r="P68" s="56"/>
      <c r="Q68" s="56">
        <f>N68-0</f>
        <v>0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5064.54</v>
      </c>
      <c r="G74" s="50">
        <f aca="true" t="shared" si="24" ref="G74:G92">F74-E74</f>
        <v>-863.46</v>
      </c>
      <c r="H74" s="51">
        <f aca="true" t="shared" si="25" ref="H74:H87">F74/E74*100</f>
        <v>85.4342105263158</v>
      </c>
      <c r="I74" s="36">
        <f aca="true" t="shared" si="26" ref="I74:I92">F74-D74</f>
        <v>-13293.759999999998</v>
      </c>
      <c r="J74" s="36">
        <f aca="true" t="shared" si="27" ref="J74:J92">F74/D74*100</f>
        <v>27.587194892773297</v>
      </c>
      <c r="K74" s="36">
        <f>F74-5538.5</f>
        <v>-473.96000000000004</v>
      </c>
      <c r="L74" s="136">
        <f>F74/7538.5</f>
        <v>0.6718233070239438</v>
      </c>
      <c r="M74" s="22">
        <f>M77+M86+M88+M89+M94+M95+M96+M97+M99+M87+M103</f>
        <v>1480.5</v>
      </c>
      <c r="N74" s="22">
        <f>N77+N86+N88+N89+N94+N95+N96+N97+N99+N32+N103+N87</f>
        <v>878.2199999999999</v>
      </c>
      <c r="O74" s="55">
        <f aca="true" t="shared" si="28" ref="O74:O92">N74-M74</f>
        <v>-602.2800000000001</v>
      </c>
      <c r="P74" s="36">
        <f>N74/M74*100</f>
        <v>59.31914893617021</v>
      </c>
      <c r="Q74" s="36">
        <f>N74-2163.7</f>
        <v>-1285.48</v>
      </c>
      <c r="R74" s="136">
        <f>N74/2163.7</f>
        <v>0.4058880621158201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22.17</v>
      </c>
      <c r="G77" s="49">
        <f t="shared" si="24"/>
        <v>-37.83</v>
      </c>
      <c r="H77" s="40">
        <f t="shared" si="25"/>
        <v>36.95</v>
      </c>
      <c r="I77" s="56">
        <f t="shared" si="26"/>
        <v>-477.83</v>
      </c>
      <c r="J77" s="56">
        <f t="shared" si="27"/>
        <v>4.434</v>
      </c>
      <c r="K77" s="56">
        <f>F77-1633.9</f>
        <v>-1611.73</v>
      </c>
      <c r="L77" s="135">
        <f>F77/1633.9</f>
        <v>0.013568761858130853</v>
      </c>
      <c r="M77" s="40">
        <f>E77-квітень!E77</f>
        <v>50</v>
      </c>
      <c r="N77" s="40">
        <f>F77-квітень!F77</f>
        <v>0.3000000000000007</v>
      </c>
      <c r="O77" s="53">
        <f t="shared" si="28"/>
        <v>-49.7</v>
      </c>
      <c r="P77" s="56">
        <f aca="true" t="shared" si="29" ref="P77:P87">N77/M77*100</f>
        <v>0.6000000000000014</v>
      </c>
      <c r="Q77" s="56">
        <f>N77-291.7</f>
        <v>-291.4</v>
      </c>
      <c r="R77" s="135">
        <f>N77/291.7</f>
        <v>0.00102845389098389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E87-квітень!E87</f>
        <v>0</v>
      </c>
      <c r="N87" s="40">
        <f>F87-квітень!F87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38.9</v>
      </c>
      <c r="G89" s="49">
        <f t="shared" si="24"/>
        <v>-30.1</v>
      </c>
      <c r="H89" s="40">
        <f>F89/E89*100</f>
        <v>56.37681159420289</v>
      </c>
      <c r="I89" s="56">
        <f t="shared" si="26"/>
        <v>-136.1</v>
      </c>
      <c r="J89" s="56">
        <f t="shared" si="27"/>
        <v>22.228571428571428</v>
      </c>
      <c r="K89" s="56">
        <f>F89-73.4</f>
        <v>-34.50000000000001</v>
      </c>
      <c r="L89" s="135">
        <f>F89/73.4</f>
        <v>0.5299727520435966</v>
      </c>
      <c r="M89" s="40">
        <f>E89-квітень!E89</f>
        <v>15</v>
      </c>
      <c r="N89" s="40">
        <f>F89-квітень!F89</f>
        <v>4.460000000000001</v>
      </c>
      <c r="O89" s="53">
        <f t="shared" si="28"/>
        <v>-10.54</v>
      </c>
      <c r="P89" s="56">
        <f>N89/M89*100</f>
        <v>29.733333333333338</v>
      </c>
      <c r="Q89" s="56">
        <f>N89-7.1</f>
        <v>-2.639999999999999</v>
      </c>
      <c r="R89" s="135">
        <f>N89/7.1</f>
        <v>0.6281690140845072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2961.19</v>
      </c>
      <c r="G95" s="49">
        <f t="shared" si="31"/>
        <v>4.690000000000055</v>
      </c>
      <c r="H95" s="40">
        <f>F95/E95*100</f>
        <v>100.15863351936412</v>
      </c>
      <c r="I95" s="56">
        <f t="shared" si="32"/>
        <v>-4038.81</v>
      </c>
      <c r="J95" s="56">
        <f>F95/D95*100</f>
        <v>42.30271428571429</v>
      </c>
      <c r="K95" s="56">
        <f>F95-2948.4</f>
        <v>12.789999999999964</v>
      </c>
      <c r="L95" s="135">
        <f>F95/2948.4</f>
        <v>1.0043379460046127</v>
      </c>
      <c r="M95" s="40">
        <f>E95-квітень!E95</f>
        <v>575</v>
      </c>
      <c r="N95" s="40">
        <f>F95-квітень!F95</f>
        <v>578.6599999999999</v>
      </c>
      <c r="O95" s="53">
        <f t="shared" si="33"/>
        <v>3.6599999999998545</v>
      </c>
      <c r="P95" s="56">
        <f>N95/M95*100</f>
        <v>100.6365217391304</v>
      </c>
      <c r="Q95" s="56">
        <f>N95-679.2</f>
        <v>-100.54000000000019</v>
      </c>
      <c r="R95" s="135">
        <f>N95/679.2</f>
        <v>0.8519729093050645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305.2</v>
      </c>
      <c r="G96" s="49">
        <f t="shared" si="31"/>
        <v>-69.30000000000001</v>
      </c>
      <c r="H96" s="40">
        <f>F96/E96*100</f>
        <v>81.49532710280374</v>
      </c>
      <c r="I96" s="56">
        <f t="shared" si="32"/>
        <v>-894.8</v>
      </c>
      <c r="J96" s="56">
        <f>F96/D96*100</f>
        <v>25.43333333333333</v>
      </c>
      <c r="K96" s="56">
        <f>F96-374</f>
        <v>-68.80000000000001</v>
      </c>
      <c r="L96" s="135">
        <f>F96/374</f>
        <v>0.8160427807486631</v>
      </c>
      <c r="M96" s="40">
        <f>E96-квітень!E96</f>
        <v>80</v>
      </c>
      <c r="N96" s="40">
        <f>F96-квітень!F96</f>
        <v>25.610000000000014</v>
      </c>
      <c r="O96" s="53">
        <f t="shared" si="33"/>
        <v>-54.389999999999986</v>
      </c>
      <c r="P96" s="56">
        <f>N96/M96*100</f>
        <v>32.01250000000002</v>
      </c>
      <c r="Q96" s="56">
        <f>N96-68.5</f>
        <v>-42.889999999999986</v>
      </c>
      <c r="R96" s="135">
        <f>N96/68.5</f>
        <v>0.37386861313868636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1506.65</v>
      </c>
      <c r="G99" s="49">
        <f t="shared" si="31"/>
        <v>-0.34999999999990905</v>
      </c>
      <c r="H99" s="40">
        <f>F99/E99*100</f>
        <v>99.97677504976775</v>
      </c>
      <c r="I99" s="56">
        <f t="shared" si="32"/>
        <v>-3066.0499999999997</v>
      </c>
      <c r="J99" s="56">
        <f>F99/D99*100</f>
        <v>32.948804863647304</v>
      </c>
      <c r="K99" s="56">
        <f>F99-1665.9</f>
        <v>-159.25</v>
      </c>
      <c r="L99" s="135">
        <f>F99/1665.9</f>
        <v>0.9044060267723153</v>
      </c>
      <c r="M99" s="40">
        <f>E99-квітень!E99</f>
        <v>330</v>
      </c>
      <c r="N99" s="40">
        <f>F99-квітень!F99</f>
        <v>268.19000000000005</v>
      </c>
      <c r="O99" s="53">
        <f t="shared" si="33"/>
        <v>-61.809999999999945</v>
      </c>
      <c r="P99" s="56">
        <f>N99/M99*100</f>
        <v>81.269696969697</v>
      </c>
      <c r="Q99" s="56">
        <f>N99-671</f>
        <v>-402.80999999999995</v>
      </c>
      <c r="R99" s="135">
        <f>N99/671</f>
        <v>0.3996870342771983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269.6</v>
      </c>
      <c r="G102" s="144"/>
      <c r="H102" s="146"/>
      <c r="I102" s="145"/>
      <c r="J102" s="145"/>
      <c r="K102" s="148">
        <f>F102-184.7</f>
        <v>84.90000000000003</v>
      </c>
      <c r="L102" s="149">
        <f>F102/184.7</f>
        <v>1.459664320519762</v>
      </c>
      <c r="M102" s="40">
        <f>E102-квітень!E102</f>
        <v>0</v>
      </c>
      <c r="N102" s="40">
        <f>F102-квітень!F102</f>
        <v>34.20000000000002</v>
      </c>
      <c r="O102" s="53"/>
      <c r="P102" s="60"/>
      <c r="Q102" s="60">
        <f>N102-45.1</f>
        <v>-10.899999999999984</v>
      </c>
      <c r="R102" s="138">
        <f>N102/45.1</f>
        <v>0.7583148558758318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-54.99</v>
      </c>
      <c r="K103" s="56">
        <f>F103-59.1</f>
        <v>-45.910000000000004</v>
      </c>
      <c r="L103" s="135">
        <f>F103/59.1</f>
        <v>0.22318104906937392</v>
      </c>
      <c r="M103" s="40">
        <f>E103-квітень!E103</f>
        <v>0</v>
      </c>
      <c r="N103" s="40">
        <f>F103-квітень!F103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10.51</v>
      </c>
      <c r="G104" s="49">
        <f>F104-E104</f>
        <v>-1.6899999999999995</v>
      </c>
      <c r="H104" s="40">
        <f>F104/E104*100</f>
        <v>86.14754098360656</v>
      </c>
      <c r="I104" s="56">
        <f t="shared" si="34"/>
        <v>-34.49</v>
      </c>
      <c r="J104" s="56">
        <f aca="true" t="shared" si="36" ref="J104:J109">F104/D104*100</f>
        <v>23.355555555555554</v>
      </c>
      <c r="K104" s="56">
        <f>F104-13.3</f>
        <v>-2.790000000000001</v>
      </c>
      <c r="L104" s="135">
        <f>F104/13.3</f>
        <v>0.7902255639097744</v>
      </c>
      <c r="M104" s="40">
        <f>E104-квітень!E104</f>
        <v>3</v>
      </c>
      <c r="N104" s="40">
        <f>F104-квітень!F104</f>
        <v>1.5</v>
      </c>
      <c r="O104" s="53">
        <f t="shared" si="35"/>
        <v>-1.5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160463.33000000002</v>
      </c>
      <c r="G106" s="50">
        <f>F106-E106</f>
        <v>-37147.92999999999</v>
      </c>
      <c r="H106" s="51">
        <f>F106/E106*100</f>
        <v>81.20151149281676</v>
      </c>
      <c r="I106" s="36">
        <f t="shared" si="34"/>
        <v>-346416.26999999996</v>
      </c>
      <c r="J106" s="36">
        <f t="shared" si="36"/>
        <v>31.657089770430698</v>
      </c>
      <c r="K106" s="36">
        <f>F106-194689.2</f>
        <v>-34225.869999999995</v>
      </c>
      <c r="L106" s="136">
        <f>F106/194689.2</f>
        <v>0.8242025238174485</v>
      </c>
      <c r="M106" s="22">
        <f>M8+M74+M104+M105</f>
        <v>38933.46999999999</v>
      </c>
      <c r="N106" s="22">
        <f>N8+N74+N104+N105</f>
        <v>10506.200000000006</v>
      </c>
      <c r="O106" s="55">
        <f t="shared" si="35"/>
        <v>-28427.269999999982</v>
      </c>
      <c r="P106" s="36">
        <f>N106/M106*100</f>
        <v>26.985008014954765</v>
      </c>
      <c r="Q106" s="36">
        <f>N106-38187.1</f>
        <v>-27680.899999999994</v>
      </c>
      <c r="R106" s="136">
        <f>N106/38187.1</f>
        <v>0.27512432208782567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126313.15</v>
      </c>
      <c r="G107" s="71">
        <f>G10-G18+G96</f>
        <v>-30173.14999999999</v>
      </c>
      <c r="H107" s="72">
        <f>F107/E107*100</f>
        <v>80.71834403395057</v>
      </c>
      <c r="I107" s="52">
        <f t="shared" si="34"/>
        <v>-261900.05000000002</v>
      </c>
      <c r="J107" s="52">
        <f t="shared" si="36"/>
        <v>32.5370569573626</v>
      </c>
      <c r="K107" s="52">
        <f>F107-146288.9</f>
        <v>-19975.75</v>
      </c>
      <c r="L107" s="137">
        <f>F107/146288.9</f>
        <v>0.863449995180769</v>
      </c>
      <c r="M107" s="71">
        <f>M10-M18+M96</f>
        <v>30488.59999999999</v>
      </c>
      <c r="N107" s="71">
        <f>N10-N18+N96</f>
        <v>8913.410000000003</v>
      </c>
      <c r="O107" s="53">
        <f t="shared" si="35"/>
        <v>-21575.189999999988</v>
      </c>
      <c r="P107" s="52">
        <f>N107/M107*100</f>
        <v>29.23522234540125</v>
      </c>
      <c r="Q107" s="52">
        <f>N107-28646.6</f>
        <v>-19733.189999999995</v>
      </c>
      <c r="R107" s="137">
        <f>N107/28646.6</f>
        <v>0.31115071247547715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34150.18000000002</v>
      </c>
      <c r="G108" s="62">
        <f>F108-E108</f>
        <v>-6974.779999999999</v>
      </c>
      <c r="H108" s="72">
        <f>F108/E108*100</f>
        <v>83.04003213620148</v>
      </c>
      <c r="I108" s="52">
        <f t="shared" si="34"/>
        <v>-84516.21999999994</v>
      </c>
      <c r="J108" s="52">
        <f t="shared" si="36"/>
        <v>28.778306243384844</v>
      </c>
      <c r="K108" s="52">
        <f>F108-48400.3</f>
        <v>-14250.11999999998</v>
      </c>
      <c r="L108" s="137">
        <f>F108/48400.3</f>
        <v>0.7055778579884839</v>
      </c>
      <c r="M108" s="71">
        <f>M106-M107</f>
        <v>8444.869999999995</v>
      </c>
      <c r="N108" s="71">
        <f>N106-N107</f>
        <v>1592.7900000000027</v>
      </c>
      <c r="O108" s="53">
        <f t="shared" si="35"/>
        <v>-6852.079999999993</v>
      </c>
      <c r="P108" s="52">
        <f>N108/M108*100</f>
        <v>18.861036345142125</v>
      </c>
      <c r="Q108" s="52">
        <f>N108-9540.4</f>
        <v>-7947.609999999997</v>
      </c>
      <c r="R108" s="137">
        <f>N108/9540.4</f>
        <v>0.16695211940799157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126313.15</v>
      </c>
      <c r="G109" s="111">
        <f>F109-E109</f>
        <v>-24803.25</v>
      </c>
      <c r="H109" s="72">
        <f>F109/E109*100</f>
        <v>83.58665902575763</v>
      </c>
      <c r="I109" s="81">
        <f t="shared" si="34"/>
        <v>-261900.05000000002</v>
      </c>
      <c r="J109" s="52">
        <f t="shared" si="36"/>
        <v>32.5370569573626</v>
      </c>
      <c r="K109" s="52"/>
      <c r="L109" s="137"/>
      <c r="M109" s="72">
        <f>E109-квітень!E109</f>
        <v>30488.59999999999</v>
      </c>
      <c r="N109" s="71">
        <f>N107</f>
        <v>8913.410000000003</v>
      </c>
      <c r="O109" s="118">
        <f t="shared" si="35"/>
        <v>-21575.189999999988</v>
      </c>
      <c r="P109" s="52">
        <f>N109/M109*100</f>
        <v>29.23522234540125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-0.82</v>
      </c>
      <c r="G113" s="49">
        <f aca="true" t="shared" si="37" ref="G113:G125">F113-E113</f>
        <v>-0.82</v>
      </c>
      <c r="H113" s="40"/>
      <c r="I113" s="60">
        <f aca="true" t="shared" si="38" ref="I113:I124">F113-D113</f>
        <v>-0.82</v>
      </c>
      <c r="J113" s="60"/>
      <c r="K113" s="60">
        <f>F113-6.7</f>
        <v>-7.5200000000000005</v>
      </c>
      <c r="L113" s="138">
        <f>F113/6.7</f>
        <v>-0.12238805970149252</v>
      </c>
      <c r="M113" s="40">
        <f>E113-квітень!E113</f>
        <v>0</v>
      </c>
      <c r="N113" s="40">
        <f>F113-квітень!F113</f>
        <v>0.13</v>
      </c>
      <c r="O113" s="53"/>
      <c r="P113" s="60"/>
      <c r="Q113" s="60">
        <f>N113-0</f>
        <v>0.13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v>393.1</v>
      </c>
      <c r="G114" s="49">
        <f t="shared" si="37"/>
        <v>-976.4999999999999</v>
      </c>
      <c r="H114" s="40">
        <f aca="true" t="shared" si="39" ref="H114:H125">F114/E114*100</f>
        <v>28.701810747663554</v>
      </c>
      <c r="I114" s="60">
        <f t="shared" si="38"/>
        <v>-3278.4</v>
      </c>
      <c r="J114" s="60">
        <f aca="true" t="shared" si="40" ref="J114:J120">F114/D114*100</f>
        <v>10.706795587634483</v>
      </c>
      <c r="K114" s="60">
        <f>F114-1614.9</f>
        <v>-1221.8000000000002</v>
      </c>
      <c r="L114" s="138">
        <f>F114/1614.9</f>
        <v>0.24342064524119142</v>
      </c>
      <c r="M114" s="40">
        <f>E114-квітень!E114</f>
        <v>327.5</v>
      </c>
      <c r="N114" s="40">
        <f>F114-квітень!F114</f>
        <v>18.110000000000014</v>
      </c>
      <c r="O114" s="53">
        <f aca="true" t="shared" si="41" ref="O114:O125">N114-M114</f>
        <v>-309.39</v>
      </c>
      <c r="P114" s="60">
        <f>N114/M114*100</f>
        <v>5.529770992366417</v>
      </c>
      <c r="Q114" s="60">
        <f>N114-411.7</f>
        <v>-393.59</v>
      </c>
      <c r="R114" s="138">
        <f>N114/411.7</f>
        <v>0.04398834102501825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113</v>
      </c>
      <c r="G115" s="49">
        <f t="shared" si="37"/>
        <v>0.5</v>
      </c>
      <c r="H115" s="40">
        <f t="shared" si="39"/>
        <v>100.44444444444444</v>
      </c>
      <c r="I115" s="60">
        <f t="shared" si="38"/>
        <v>-155.10000000000002</v>
      </c>
      <c r="J115" s="60">
        <f t="shared" si="40"/>
        <v>42.148452070123085</v>
      </c>
      <c r="K115" s="60">
        <f>F115-105.4</f>
        <v>7.599999999999994</v>
      </c>
      <c r="L115" s="138">
        <f>F115/105.4</f>
        <v>1.0721062618595825</v>
      </c>
      <c r="M115" s="40">
        <f>E115-квітень!E115</f>
        <v>22</v>
      </c>
      <c r="N115" s="40">
        <f>F115-квітень!F115</f>
        <v>16.47</v>
      </c>
      <c r="O115" s="53">
        <f t="shared" si="41"/>
        <v>-5.530000000000001</v>
      </c>
      <c r="P115" s="60">
        <f>N115/M115*100</f>
        <v>74.86363636363636</v>
      </c>
      <c r="Q115" s="60">
        <f>N115-21.2</f>
        <v>-4.73</v>
      </c>
      <c r="R115" s="138">
        <f>N115/21.2</f>
        <v>0.7768867924528302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505.28000000000003</v>
      </c>
      <c r="G116" s="62">
        <f t="shared" si="37"/>
        <v>-976.8199999999999</v>
      </c>
      <c r="H116" s="72">
        <f t="shared" si="39"/>
        <v>34.092166520477704</v>
      </c>
      <c r="I116" s="61">
        <f t="shared" si="38"/>
        <v>-3434.3199999999997</v>
      </c>
      <c r="J116" s="61">
        <f t="shared" si="40"/>
        <v>12.825667580465023</v>
      </c>
      <c r="K116" s="61">
        <f>F116-1727</f>
        <v>-1221.72</v>
      </c>
      <c r="L116" s="139">
        <f>F116/1727</f>
        <v>0.2925767226404169</v>
      </c>
      <c r="M116" s="62">
        <f>M114+M115+M113</f>
        <v>349.5</v>
      </c>
      <c r="N116" s="38">
        <f>SUM(N113:N115)</f>
        <v>34.71000000000001</v>
      </c>
      <c r="O116" s="61">
        <f t="shared" si="41"/>
        <v>-314.78999999999996</v>
      </c>
      <c r="P116" s="61">
        <f>N116/M116*100</f>
        <v>9.931330472103006</v>
      </c>
      <c r="Q116" s="61">
        <f>N116-432.8</f>
        <v>-398.09000000000003</v>
      </c>
      <c r="R116" s="139">
        <f>N116/432.8</f>
        <v>0.08019870609981518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128.38</v>
      </c>
      <c r="G118" s="49">
        <f t="shared" si="37"/>
        <v>21.879999999999995</v>
      </c>
      <c r="H118" s="40">
        <f t="shared" si="39"/>
        <v>120.54460093896712</v>
      </c>
      <c r="I118" s="60">
        <f t="shared" si="38"/>
        <v>-138.82</v>
      </c>
      <c r="J118" s="60">
        <f t="shared" si="40"/>
        <v>48.046407185628745</v>
      </c>
      <c r="K118" s="60">
        <f>F118-88.5</f>
        <v>39.879999999999995</v>
      </c>
      <c r="L118" s="138">
        <f>F118/88.5</f>
        <v>1.4506214689265535</v>
      </c>
      <c r="M118" s="40">
        <f>E118-квітень!E118</f>
        <v>0</v>
      </c>
      <c r="N118" s="40">
        <f>F118-квітень!F118</f>
        <v>0.519999999999996</v>
      </c>
      <c r="O118" s="53">
        <f>N118-M118</f>
        <v>0.519999999999996</v>
      </c>
      <c r="P118" s="60" t="e">
        <f>N118/M118*100</f>
        <v>#DIV/0!</v>
      </c>
      <c r="Q118" s="60">
        <f>N118-0.1</f>
        <v>0.41999999999999604</v>
      </c>
      <c r="R118" s="138">
        <f>N118/0.1</f>
        <v>5.19999999999996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30477.65</v>
      </c>
      <c r="G119" s="49">
        <f t="shared" si="37"/>
        <v>-1134.949999999997</v>
      </c>
      <c r="H119" s="40">
        <f t="shared" si="39"/>
        <v>96.40981760437295</v>
      </c>
      <c r="I119" s="53">
        <f t="shared" si="38"/>
        <v>-41498.340000000004</v>
      </c>
      <c r="J119" s="60">
        <f t="shared" si="40"/>
        <v>42.344190055600485</v>
      </c>
      <c r="K119" s="60">
        <f>F119-30022.6</f>
        <v>455.0500000000029</v>
      </c>
      <c r="L119" s="138">
        <f>F119/30022.6</f>
        <v>1.0151569151239401</v>
      </c>
      <c r="M119" s="40">
        <f>E119-квітень!E119</f>
        <v>6500</v>
      </c>
      <c r="N119" s="40">
        <f>F119-квітень!F119</f>
        <v>3915.8100000000013</v>
      </c>
      <c r="O119" s="53">
        <f t="shared" si="41"/>
        <v>-2584.1899999999987</v>
      </c>
      <c r="P119" s="60">
        <f aca="true" t="shared" si="42" ref="P119:P124">N119/M119*100</f>
        <v>60.24323076923079</v>
      </c>
      <c r="Q119" s="60">
        <f>N119-6377.4</f>
        <v>-2461.5899999999983</v>
      </c>
      <c r="R119" s="138">
        <f>N119/6377.4</f>
        <v>0.6140135478408131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1435.71</v>
      </c>
      <c r="G120" s="49">
        <f t="shared" si="37"/>
        <v>-212.28999999999996</v>
      </c>
      <c r="H120" s="40">
        <f t="shared" si="39"/>
        <v>87.11832524271846</v>
      </c>
      <c r="I120" s="60">
        <f t="shared" si="38"/>
        <v>-8564.29</v>
      </c>
      <c r="J120" s="60">
        <f t="shared" si="40"/>
        <v>14.3571</v>
      </c>
      <c r="K120" s="60">
        <f>F120-436.1</f>
        <v>999.61</v>
      </c>
      <c r="L120" s="138">
        <f>F120/436.1</f>
        <v>3.292157761981197</v>
      </c>
      <c r="M120" s="40">
        <f>E120-квітень!E120</f>
        <v>207</v>
      </c>
      <c r="N120" s="40">
        <f>F120-квітень!F120</f>
        <v>0.7100000000000364</v>
      </c>
      <c r="O120" s="53">
        <f t="shared" si="41"/>
        <v>-206.28999999999996</v>
      </c>
      <c r="P120" s="60">
        <f t="shared" si="42"/>
        <v>0.34299516908214317</v>
      </c>
      <c r="Q120" s="60">
        <f>N120-0</f>
        <v>0.7100000000000364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1534.83</v>
      </c>
      <c r="G121" s="49">
        <f t="shared" si="37"/>
        <v>-1520.5700000000002</v>
      </c>
      <c r="H121" s="40">
        <f t="shared" si="39"/>
        <v>50.23335733455521</v>
      </c>
      <c r="I121" s="60">
        <f t="shared" si="38"/>
        <v>-21543.17</v>
      </c>
      <c r="J121" s="60">
        <f>F121/D121*100</f>
        <v>6.650619637750238</v>
      </c>
      <c r="K121" s="60">
        <f>F121-7468.7</f>
        <v>-5933.87</v>
      </c>
      <c r="L121" s="138">
        <f>F121/7468.7</f>
        <v>0.2055016267891333</v>
      </c>
      <c r="M121" s="40">
        <f>E121-квітень!E121</f>
        <v>1575.4</v>
      </c>
      <c r="N121" s="40">
        <f>F121-квітень!F121</f>
        <v>47.33999999999992</v>
      </c>
      <c r="O121" s="53">
        <f t="shared" si="41"/>
        <v>-1528.0600000000002</v>
      </c>
      <c r="P121" s="60">
        <f t="shared" si="42"/>
        <v>3.004951123524179</v>
      </c>
      <c r="Q121" s="60">
        <f>N121-192.7</f>
        <v>-145.36000000000007</v>
      </c>
      <c r="R121" s="138">
        <f>N121/192.7</f>
        <v>0.24566683964711947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577.27</v>
      </c>
      <c r="G122" s="49">
        <f t="shared" si="37"/>
        <v>-95.59000000000003</v>
      </c>
      <c r="H122" s="40">
        <f t="shared" si="39"/>
        <v>85.79347858395505</v>
      </c>
      <c r="I122" s="60">
        <f t="shared" si="38"/>
        <v>-1422.73</v>
      </c>
      <c r="J122" s="60">
        <f>F122/D122*100</f>
        <v>28.8635</v>
      </c>
      <c r="K122" s="60">
        <f>F122-1200</f>
        <v>-622.73</v>
      </c>
      <c r="L122" s="138">
        <f>F122/1200</f>
        <v>0.4810583333333333</v>
      </c>
      <c r="M122" s="40">
        <f>E122-квітень!E122</f>
        <v>189.59000000000003</v>
      </c>
      <c r="N122" s="40">
        <f>F122-квітень!F122</f>
        <v>0</v>
      </c>
      <c r="O122" s="53">
        <f t="shared" si="41"/>
        <v>-189.59000000000003</v>
      </c>
      <c r="P122" s="60">
        <f t="shared" si="42"/>
        <v>0</v>
      </c>
      <c r="Q122" s="60">
        <f>N122-29.5</f>
        <v>-29.5</v>
      </c>
      <c r="R122" s="138">
        <f>N122/29.5</f>
        <v>0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34153.84</v>
      </c>
      <c r="G123" s="62">
        <f t="shared" si="37"/>
        <v>-2941.520000000004</v>
      </c>
      <c r="H123" s="72">
        <f t="shared" si="39"/>
        <v>92.07038292659782</v>
      </c>
      <c r="I123" s="61">
        <f t="shared" si="38"/>
        <v>-73167.35</v>
      </c>
      <c r="J123" s="61">
        <f>F123/D123*100</f>
        <v>31.82394828085674</v>
      </c>
      <c r="K123" s="61">
        <f>F123-39215.9</f>
        <v>-5062.060000000005</v>
      </c>
      <c r="L123" s="139">
        <f>F123/39215.9</f>
        <v>0.8709181734959544</v>
      </c>
      <c r="M123" s="62">
        <f>M119+M120+M121+M122+M118</f>
        <v>8471.99</v>
      </c>
      <c r="N123" s="62">
        <f>N119+N120+N121+N122+N118</f>
        <v>3964.3800000000015</v>
      </c>
      <c r="O123" s="61">
        <f t="shared" si="41"/>
        <v>-4507.609999999999</v>
      </c>
      <c r="P123" s="61">
        <f t="shared" si="42"/>
        <v>46.79396458211119</v>
      </c>
      <c r="Q123" s="61">
        <f>N123-6599.8</f>
        <v>-2635.4199999999987</v>
      </c>
      <c r="R123" s="139">
        <f>N123/6599.8</f>
        <v>0.6006818388436015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9.9</v>
      </c>
      <c r="G124" s="49">
        <f t="shared" si="37"/>
        <v>-4.26</v>
      </c>
      <c r="H124" s="40">
        <f t="shared" si="39"/>
        <v>69.91525423728814</v>
      </c>
      <c r="I124" s="60">
        <f t="shared" si="38"/>
        <v>-33.6</v>
      </c>
      <c r="J124" s="60">
        <f>F124/D124*100</f>
        <v>22.758620689655174</v>
      </c>
      <c r="K124" s="60">
        <f>F124-99.2</f>
        <v>-89.3</v>
      </c>
      <c r="L124" s="138">
        <f>F124/99.2</f>
        <v>0.09979838709677419</v>
      </c>
      <c r="M124" s="40">
        <f>E124-квітень!E124</f>
        <v>3</v>
      </c>
      <c r="N124" s="40">
        <f>F124-квітень!F124</f>
        <v>0.25</v>
      </c>
      <c r="O124" s="53">
        <f t="shared" si="41"/>
        <v>-2.75</v>
      </c>
      <c r="P124" s="60">
        <f t="shared" si="42"/>
        <v>8.333333333333332</v>
      </c>
      <c r="Q124" s="60">
        <f>N124-1.4</f>
        <v>-1.15</v>
      </c>
      <c r="R124" s="138">
        <f>N124/1.4</f>
        <v>0.17857142857142858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4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2626.47</v>
      </c>
      <c r="G127" s="49">
        <f aca="true" t="shared" si="43" ref="G127:G134">F127-E127</f>
        <v>-2385.03</v>
      </c>
      <c r="H127" s="40">
        <f>F127/E127*100</f>
        <v>52.408859622867396</v>
      </c>
      <c r="I127" s="60">
        <f aca="true" t="shared" si="44" ref="I127:I134">F127-D127</f>
        <v>-6073.530000000001</v>
      </c>
      <c r="J127" s="60">
        <f>F127/D127*100</f>
        <v>30.189310344827586</v>
      </c>
      <c r="K127" s="60">
        <f>F127-6289.1</f>
        <v>-3662.6300000000006</v>
      </c>
      <c r="L127" s="138">
        <f>F127/6289.1</f>
        <v>0.4176225533065144</v>
      </c>
      <c r="M127" s="40">
        <f>E127-квітень!E127</f>
        <v>2502</v>
      </c>
      <c r="N127" s="40">
        <f>F127-квітень!F127</f>
        <v>8.039999999999964</v>
      </c>
      <c r="O127" s="53">
        <f aca="true" t="shared" si="45" ref="O127:O134">N127-M127</f>
        <v>-2493.96</v>
      </c>
      <c r="P127" s="60">
        <f>N127/M127*100</f>
        <v>0.321342925659471</v>
      </c>
      <c r="Q127" s="60">
        <f>N127-3456.6</f>
        <v>-3448.56</v>
      </c>
      <c r="R127" s="164">
        <f>N127/3456.5</f>
        <v>0.002326052365109204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</v>
      </c>
      <c r="G128" s="49">
        <f t="shared" si="43"/>
        <v>-0.2</v>
      </c>
      <c r="H128" s="40"/>
      <c r="I128" s="60">
        <f t="shared" si="44"/>
        <v>-0.2</v>
      </c>
      <c r="J128" s="60"/>
      <c r="K128" s="60">
        <f>F128-(-0.5)</f>
        <v>0.3</v>
      </c>
      <c r="L128" s="138">
        <f>F128/(-0.5)</f>
        <v>0.4</v>
      </c>
      <c r="M128" s="40">
        <f>E128-квітень!E128</f>
        <v>0</v>
      </c>
      <c r="N128" s="40">
        <f>F128-квітень!F128</f>
        <v>0.07</v>
      </c>
      <c r="O128" s="53">
        <f t="shared" si="45"/>
        <v>0.07</v>
      </c>
      <c r="P128" s="60"/>
      <c r="Q128" s="60">
        <f>N128-0.1</f>
        <v>-0.03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2653.9300000000003</v>
      </c>
      <c r="G129" s="62">
        <f t="shared" si="43"/>
        <v>-2378.9299999999994</v>
      </c>
      <c r="H129" s="72">
        <f>F129/E129*100</f>
        <v>52.73204500025831</v>
      </c>
      <c r="I129" s="61">
        <f t="shared" si="44"/>
        <v>-6096.77</v>
      </c>
      <c r="J129" s="61">
        <f>F129/D129*100</f>
        <v>30.328202315243352</v>
      </c>
      <c r="K129" s="61">
        <f>F129-2938.1</f>
        <v>-284.1699999999996</v>
      </c>
      <c r="L129" s="139">
        <f>G129/2938.1</f>
        <v>-0.8096831285524657</v>
      </c>
      <c r="M129" s="62">
        <f>M124+M127+M128+M126</f>
        <v>2505</v>
      </c>
      <c r="N129" s="62">
        <f>N124+N127+N128+N126</f>
        <v>8.359999999999964</v>
      </c>
      <c r="O129" s="61">
        <f t="shared" si="45"/>
        <v>-2496.64</v>
      </c>
      <c r="P129" s="61">
        <f>N129/M129*100</f>
        <v>0.33373253493013827</v>
      </c>
      <c r="Q129" s="61">
        <f>N129-3458.2</f>
        <v>-3449.8399999999997</v>
      </c>
      <c r="R129" s="137">
        <f>N129/3458.2</f>
        <v>0.002417442600196624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12.19</v>
      </c>
      <c r="G130" s="49">
        <f>F130-E130</f>
        <v>3.539999999999999</v>
      </c>
      <c r="H130" s="40">
        <f>F130/E130*100</f>
        <v>140.92485549132948</v>
      </c>
      <c r="I130" s="60">
        <f>F130-D130</f>
        <v>-17.810000000000002</v>
      </c>
      <c r="J130" s="60">
        <f>F130/D130*100</f>
        <v>40.63333333333333</v>
      </c>
      <c r="K130" s="60">
        <f>F130-9.3</f>
        <v>2.889999999999999</v>
      </c>
      <c r="L130" s="138">
        <f>F130/9.3</f>
        <v>1.3107526881720428</v>
      </c>
      <c r="M130" s="40">
        <f>E130-квітень!E130</f>
        <v>0.40000000000000036</v>
      </c>
      <c r="N130" s="40">
        <f>F130-квітень!F130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37325.24</v>
      </c>
      <c r="G133" s="50">
        <f t="shared" si="43"/>
        <v>-6293.730000000003</v>
      </c>
      <c r="H133" s="51">
        <f>F133/E133*100</f>
        <v>85.57111733725029</v>
      </c>
      <c r="I133" s="36">
        <f t="shared" si="44"/>
        <v>-82716.25</v>
      </c>
      <c r="J133" s="36">
        <f>F133/D133*100</f>
        <v>31.09361604891775</v>
      </c>
      <c r="K133" s="36">
        <f>F133-47348.4</f>
        <v>-10023.160000000003</v>
      </c>
      <c r="L133" s="136">
        <f>F133/47348.4</f>
        <v>0.7883104814523827</v>
      </c>
      <c r="M133" s="31">
        <f>M116+M130+M123+M129+M132+M131</f>
        <v>11326.89</v>
      </c>
      <c r="N133" s="31">
        <f>N116+N130+N123+N129+N132+N131</f>
        <v>4007.4500000000016</v>
      </c>
      <c r="O133" s="36">
        <f t="shared" si="45"/>
        <v>-7319.439999999998</v>
      </c>
      <c r="P133" s="36">
        <f>N133/M133*100</f>
        <v>35.3799674932837</v>
      </c>
      <c r="Q133" s="36">
        <f>N133-10488.3</f>
        <v>-6480.849999999998</v>
      </c>
      <c r="R133" s="136">
        <f>N133/10488.3</f>
        <v>0.3820876595825827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197788.57</v>
      </c>
      <c r="G134" s="50">
        <f t="shared" si="43"/>
        <v>-43441.66</v>
      </c>
      <c r="H134" s="51">
        <f>F134/E134*100</f>
        <v>81.99161854631569</v>
      </c>
      <c r="I134" s="36">
        <f t="shared" si="44"/>
        <v>-429132.51999999996</v>
      </c>
      <c r="J134" s="36">
        <f>F134/D134*100</f>
        <v>31.54919704487849</v>
      </c>
      <c r="K134" s="36">
        <f>F134-242037.6</f>
        <v>-44249.03</v>
      </c>
      <c r="L134" s="136">
        <f>F134/242037.6</f>
        <v>0.817181173503621</v>
      </c>
      <c r="M134" s="22">
        <f>M106+M133</f>
        <v>50260.359999999986</v>
      </c>
      <c r="N134" s="22">
        <f>N106+N133</f>
        <v>14513.650000000009</v>
      </c>
      <c r="O134" s="36">
        <f t="shared" si="45"/>
        <v>-35746.70999999998</v>
      </c>
      <c r="P134" s="36">
        <f>N134/M134*100</f>
        <v>28.876932039484025</v>
      </c>
      <c r="Q134" s="36">
        <f>N134-48675.4</f>
        <v>-34161.74999999999</v>
      </c>
      <c r="R134" s="136">
        <f>N134/48675.4</f>
        <v>0.2981721773216041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13</v>
      </c>
      <c r="D136" s="4" t="s">
        <v>118</v>
      </c>
    </row>
    <row r="137" spans="2:17" ht="31.5">
      <c r="B137" s="78" t="s">
        <v>154</v>
      </c>
      <c r="C137" s="39">
        <f>IF(O106&lt;0,ABS(O106/C136),0)</f>
        <v>2186.7130769230757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41772</v>
      </c>
      <c r="D138" s="39">
        <v>967.5</v>
      </c>
      <c r="N138" s="175"/>
      <c r="O138" s="175"/>
    </row>
    <row r="139" spans="3:15" ht="15.75">
      <c r="C139" s="120">
        <v>41771</v>
      </c>
      <c r="D139" s="39">
        <v>686.1</v>
      </c>
      <c r="F139" s="4" t="s">
        <v>166</v>
      </c>
      <c r="G139" s="171" t="s">
        <v>151</v>
      </c>
      <c r="H139" s="171"/>
      <c r="I139" s="115">
        <f>'[1]залишки  (2)'!$G$9/1000</f>
        <v>13825.22196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41767</v>
      </c>
      <c r="D140" s="39">
        <v>832.2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f>'[1]залишки  (2)'!$G$8/1000</f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f>'[1]залишки  (2)'!$G$6/1000</f>
        <v>121169.72637</v>
      </c>
      <c r="E142" s="80"/>
      <c r="F142" s="100" t="s">
        <v>147</v>
      </c>
      <c r="G142" s="171" t="s">
        <v>149</v>
      </c>
      <c r="H142" s="171"/>
      <c r="I142" s="116">
        <f>'[1]залишки  (2)'!$G$10/1000</f>
        <v>107344.50441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f>'[1]надх'!$B$52/1000</f>
        <v>97.29118999999761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88" sqref="E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9" t="s">
        <v>226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224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225</v>
      </c>
      <c r="N3" s="201" t="s">
        <v>221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217</v>
      </c>
      <c r="H4" s="185" t="s">
        <v>218</v>
      </c>
      <c r="I4" s="181" t="s">
        <v>188</v>
      </c>
      <c r="J4" s="187" t="s">
        <v>189</v>
      </c>
      <c r="K4" s="176" t="s">
        <v>219</v>
      </c>
      <c r="L4" s="177"/>
      <c r="M4" s="200"/>
      <c r="N4" s="163" t="s">
        <v>227</v>
      </c>
      <c r="O4" s="181" t="s">
        <v>136</v>
      </c>
      <c r="P4" s="181" t="s">
        <v>135</v>
      </c>
      <c r="Q4" s="176" t="s">
        <v>222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216</v>
      </c>
      <c r="F5" s="203"/>
      <c r="G5" s="184"/>
      <c r="H5" s="186"/>
      <c r="I5" s="182"/>
      <c r="J5" s="188"/>
      <c r="K5" s="178"/>
      <c r="L5" s="179"/>
      <c r="M5" s="151" t="s">
        <v>220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5"/>
      <c r="O138" s="175"/>
    </row>
    <row r="139" spans="3:15" ht="15.75">
      <c r="C139" s="120">
        <v>41758</v>
      </c>
      <c r="D139" s="39">
        <v>5440.9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41757</v>
      </c>
      <c r="D140" s="39">
        <v>1923.2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123251.48</v>
      </c>
      <c r="E142" s="80"/>
      <c r="F142" s="100" t="s">
        <v>147</v>
      </c>
      <c r="G142" s="171" t="s">
        <v>149</v>
      </c>
      <c r="H142" s="171"/>
      <c r="I142" s="116">
        <v>109426.25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f>'[1]надх'!$B$52/1000</f>
        <v>97.29118999999761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9" t="s">
        <v>212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208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210</v>
      </c>
      <c r="N3" s="201" t="s">
        <v>198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207</v>
      </c>
      <c r="H4" s="185" t="s">
        <v>195</v>
      </c>
      <c r="I4" s="181" t="s">
        <v>188</v>
      </c>
      <c r="J4" s="187" t="s">
        <v>189</v>
      </c>
      <c r="K4" s="176" t="s">
        <v>196</v>
      </c>
      <c r="L4" s="177"/>
      <c r="M4" s="200"/>
      <c r="N4" s="163" t="s">
        <v>213</v>
      </c>
      <c r="O4" s="181" t="s">
        <v>136</v>
      </c>
      <c r="P4" s="181" t="s">
        <v>135</v>
      </c>
      <c r="Q4" s="176" t="s">
        <v>197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214</v>
      </c>
      <c r="F5" s="203"/>
      <c r="G5" s="184"/>
      <c r="H5" s="186"/>
      <c r="I5" s="182"/>
      <c r="J5" s="188"/>
      <c r="K5" s="178"/>
      <c r="L5" s="179"/>
      <c r="M5" s="151" t="s">
        <v>211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5"/>
      <c r="O138" s="175"/>
    </row>
    <row r="139" spans="3:15" ht="15.75">
      <c r="C139" s="120">
        <v>41726</v>
      </c>
      <c r="D139" s="39">
        <v>4682.6</v>
      </c>
      <c r="F139" s="4" t="s">
        <v>166</v>
      </c>
      <c r="G139" s="171" t="s">
        <v>151</v>
      </c>
      <c r="H139" s="171"/>
      <c r="I139" s="115">
        <v>13825.22196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41725</v>
      </c>
      <c r="D140" s="39">
        <v>3360.7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114985.02570999999</v>
      </c>
      <c r="E142" s="80"/>
      <c r="F142" s="100" t="s">
        <v>147</v>
      </c>
      <c r="G142" s="171" t="s">
        <v>149</v>
      </c>
      <c r="H142" s="171"/>
      <c r="I142" s="116">
        <v>101159.80375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3918.1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9" t="s">
        <v>193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213" t="s">
        <v>187</v>
      </c>
      <c r="E3" s="46"/>
      <c r="F3" s="214" t="s">
        <v>107</v>
      </c>
      <c r="G3" s="215"/>
      <c r="H3" s="215"/>
      <c r="I3" s="215"/>
      <c r="J3" s="216"/>
      <c r="K3" s="123"/>
      <c r="L3" s="123"/>
      <c r="M3" s="217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91"/>
      <c r="B4" s="193"/>
      <c r="C4" s="194"/>
      <c r="D4" s="213"/>
      <c r="E4" s="218" t="s">
        <v>191</v>
      </c>
      <c r="F4" s="209" t="s">
        <v>116</v>
      </c>
      <c r="G4" s="211" t="s">
        <v>167</v>
      </c>
      <c r="H4" s="185" t="s">
        <v>168</v>
      </c>
      <c r="I4" s="206" t="s">
        <v>188</v>
      </c>
      <c r="J4" s="204" t="s">
        <v>189</v>
      </c>
      <c r="K4" s="125" t="s">
        <v>174</v>
      </c>
      <c r="L4" s="130" t="s">
        <v>173</v>
      </c>
      <c r="M4" s="217"/>
      <c r="N4" s="163" t="s">
        <v>194</v>
      </c>
      <c r="O4" s="206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2"/>
      <c r="B5" s="193"/>
      <c r="C5" s="194"/>
      <c r="D5" s="213"/>
      <c r="E5" s="219"/>
      <c r="F5" s="210"/>
      <c r="G5" s="212"/>
      <c r="H5" s="186"/>
      <c r="I5" s="207"/>
      <c r="J5" s="205"/>
      <c r="K5" s="178" t="s">
        <v>184</v>
      </c>
      <c r="L5" s="179"/>
      <c r="M5" s="217"/>
      <c r="N5" s="180"/>
      <c r="O5" s="207"/>
      <c r="P5" s="208"/>
      <c r="Q5" s="178" t="s">
        <v>199</v>
      </c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5"/>
      <c r="O138" s="175"/>
    </row>
    <row r="139" spans="3:15" ht="15.75">
      <c r="C139" s="120">
        <v>41697</v>
      </c>
      <c r="D139" s="39">
        <v>2276.8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41696</v>
      </c>
      <c r="D140" s="39">
        <v>3746.1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f>'[1]залишки  (2)'!$G$8/1000</f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121970.53</v>
      </c>
      <c r="E142" s="80"/>
      <c r="F142" s="100" t="s">
        <v>147</v>
      </c>
      <c r="G142" s="171" t="s">
        <v>149</v>
      </c>
      <c r="H142" s="171"/>
      <c r="I142" s="116">
        <v>108145.31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0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9" t="s">
        <v>183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213" t="s">
        <v>192</v>
      </c>
      <c r="E3" s="46"/>
      <c r="F3" s="214" t="s">
        <v>107</v>
      </c>
      <c r="G3" s="215"/>
      <c r="H3" s="215"/>
      <c r="I3" s="215"/>
      <c r="J3" s="216"/>
      <c r="K3" s="123"/>
      <c r="L3" s="123"/>
      <c r="M3" s="187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91"/>
      <c r="B4" s="193"/>
      <c r="C4" s="194"/>
      <c r="D4" s="213"/>
      <c r="E4" s="218" t="s">
        <v>153</v>
      </c>
      <c r="F4" s="209" t="s">
        <v>116</v>
      </c>
      <c r="G4" s="211" t="s">
        <v>175</v>
      </c>
      <c r="H4" s="185" t="s">
        <v>176</v>
      </c>
      <c r="I4" s="206" t="s">
        <v>188</v>
      </c>
      <c r="J4" s="204" t="s">
        <v>189</v>
      </c>
      <c r="K4" s="125" t="s">
        <v>174</v>
      </c>
      <c r="L4" s="130" t="s">
        <v>173</v>
      </c>
      <c r="M4" s="220"/>
      <c r="N4" s="163" t="s">
        <v>186</v>
      </c>
      <c r="O4" s="206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2"/>
      <c r="B5" s="193"/>
      <c r="C5" s="194"/>
      <c r="D5" s="213"/>
      <c r="E5" s="219"/>
      <c r="F5" s="210"/>
      <c r="G5" s="212"/>
      <c r="H5" s="186"/>
      <c r="I5" s="207"/>
      <c r="J5" s="205"/>
      <c r="K5" s="178" t="s">
        <v>177</v>
      </c>
      <c r="L5" s="179"/>
      <c r="M5" s="188"/>
      <c r="N5" s="180"/>
      <c r="O5" s="207"/>
      <c r="P5" s="208"/>
      <c r="Q5" s="178" t="s">
        <v>179</v>
      </c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5"/>
      <c r="O138" s="175"/>
    </row>
    <row r="139" spans="3:15" ht="15.75">
      <c r="C139" s="120">
        <v>41669</v>
      </c>
      <c r="D139" s="39">
        <v>4752.2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41668</v>
      </c>
      <c r="D140" s="39">
        <v>1984.7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111410.62</v>
      </c>
      <c r="E142" s="80"/>
      <c r="F142" s="100" t="s">
        <v>147</v>
      </c>
      <c r="G142" s="171" t="s">
        <v>149</v>
      </c>
      <c r="H142" s="171"/>
      <c r="I142" s="116">
        <v>97585.4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0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2014-05-14T12:36:45Z</cp:lastPrinted>
  <dcterms:created xsi:type="dcterms:W3CDTF">2003-07-28T11:27:56Z</dcterms:created>
  <dcterms:modified xsi:type="dcterms:W3CDTF">2014-05-14T12:36:47Z</dcterms:modified>
  <cp:category/>
  <cp:version/>
  <cp:contentType/>
  <cp:contentStatus/>
</cp:coreProperties>
</file>